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arflight\Flugzeuge\"/>
    </mc:Choice>
  </mc:AlternateContent>
  <xr:revisionPtr revIDLastSave="0" documentId="8_{BEBCB4C2-45D7-40BF-A850-FDBF97C18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&amp;B" sheetId="1" r:id="rId1"/>
    <sheet name="Data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G6" i="1" l="1"/>
  <c r="E14" i="1"/>
  <c r="G14" i="1" s="1"/>
  <c r="E12" i="1"/>
  <c r="G12" i="1" s="1"/>
  <c r="E9" i="1"/>
  <c r="G9" i="1" s="1"/>
  <c r="E10" i="1"/>
  <c r="G10" i="1" s="1"/>
  <c r="E8" i="1"/>
  <c r="G8" i="1" s="1"/>
  <c r="E7" i="1"/>
  <c r="G7" i="1" s="1"/>
  <c r="B12" i="1" l="1"/>
  <c r="B14" i="1"/>
  <c r="G21" i="1" l="1"/>
  <c r="G20" i="1"/>
  <c r="G18" i="1"/>
  <c r="G19" i="1"/>
  <c r="E11" i="1" l="1"/>
  <c r="G11" i="1"/>
  <c r="G13" i="1" s="1"/>
  <c r="F11" i="1" l="1"/>
  <c r="E13" i="1"/>
  <c r="E15" i="1" s="1"/>
  <c r="F13" i="1" l="1"/>
  <c r="G15" i="1"/>
  <c r="F15" i="1" s="1"/>
</calcChain>
</file>

<file path=xl/sharedStrings.xml><?xml version="1.0" encoding="utf-8"?>
<sst xmlns="http://schemas.openxmlformats.org/spreadsheetml/2006/main" count="33" uniqueCount="26">
  <si>
    <t>Conversions</t>
  </si>
  <si>
    <t>Kg - &gt; Lbs</t>
  </si>
  <si>
    <t>Gal - &gt; Lbs</t>
  </si>
  <si>
    <t>→</t>
  </si>
  <si>
    <t>Name:</t>
  </si>
  <si>
    <t>Datum:</t>
  </si>
  <si>
    <t>Empty Mass</t>
  </si>
  <si>
    <t>Front Seats</t>
  </si>
  <si>
    <t>Rear Seats</t>
  </si>
  <si>
    <t>Max Musterpilot</t>
  </si>
  <si>
    <t>Gal.</t>
  </si>
  <si>
    <t>Kg.</t>
  </si>
  <si>
    <t>Liter -&gt;  Gal</t>
  </si>
  <si>
    <t>Gal -&gt; Liter</t>
  </si>
  <si>
    <t>Use at own discretion, only POH is always valid</t>
  </si>
  <si>
    <t>OE-KRZ</t>
  </si>
  <si>
    <t>Mass and Balance DA40</t>
  </si>
  <si>
    <t>Masse (kg)</t>
  </si>
  <si>
    <t>Moment (kg-m)</t>
  </si>
  <si>
    <t>Arm (m)</t>
  </si>
  <si>
    <t>Fuel (max. 50 Gal.)</t>
  </si>
  <si>
    <t>Wiegung Stand 24.01.2020</t>
  </si>
  <si>
    <t>Ramp Weight (max. 1150)</t>
  </si>
  <si>
    <t>Landing Weight (max. 1092)</t>
  </si>
  <si>
    <t>Takeoff Weight (max. 1150)</t>
  </si>
  <si>
    <t>Baggage (max. 30kg)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</si>
</sst>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0"/>
      <color indexed="8"/>
      <name val="Tahoma"/>
    </font>
    <font>
      <sz val="8"/>
      <name val="Tahoma"/>
    </font>
    <font>
      <sz val="10"/>
      <color indexed="8"/>
      <name val="Tahoma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8"/>
      <name val="Tahoma"/>
    </font>
    <font>
      <sz val="10"/>
      <color indexed="8"/>
      <name val="Segoe UI"/>
      <family val="2"/>
    </font>
    <font>
      <b/>
      <sz val="10"/>
      <color indexed="8"/>
      <name val="Segoe UI"/>
      <family val="2"/>
    </font>
    <font>
      <sz val="10"/>
      <color indexed="8"/>
      <name val="Tahoma"/>
      <family val="2"/>
    </font>
    <font>
      <sz val="12"/>
      <color indexed="8"/>
      <name val="Segoe UI"/>
      <family val="2"/>
    </font>
    <font>
      <sz val="10"/>
      <color theme="1"/>
      <name val="Segoe UI"/>
      <family val="2"/>
    </font>
    <font>
      <sz val="10"/>
      <color indexed="8"/>
      <name val="Segoe UI Semibold"/>
      <family val="2"/>
    </font>
    <font>
      <sz val="10"/>
      <color rgb="FFFF0000"/>
      <name val="Segoe UI Semibold"/>
      <family val="2"/>
    </font>
    <font>
      <sz val="11"/>
      <color theme="0"/>
      <name val="Segoe UI"/>
      <family val="2"/>
    </font>
    <font>
      <sz val="16"/>
      <color theme="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9284A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0" borderId="0" xfId="0" applyFont="1"/>
    <xf numFmtId="2" fontId="6" fillId="3" borderId="2" xfId="0" applyNumberFormat="1" applyFont="1" applyFill="1" applyBorder="1" applyAlignment="1" applyProtection="1">
      <alignment horizontal="center" vertical="center"/>
    </xf>
    <xf numFmtId="2" fontId="6" fillId="3" borderId="0" xfId="0" applyNumberFormat="1" applyFont="1" applyFill="1" applyBorder="1" applyAlignment="1" applyProtection="1">
      <alignment horizontal="center" vertical="center"/>
    </xf>
    <xf numFmtId="0" fontId="10" fillId="4" borderId="0" xfId="0" applyFont="1" applyFill="1" applyBorder="1" applyProtection="1">
      <protection locked="0"/>
    </xf>
    <xf numFmtId="2" fontId="6" fillId="3" borderId="8" xfId="0" applyNumberFormat="1" applyFont="1" applyFill="1" applyBorder="1" applyAlignment="1" applyProtection="1">
      <alignment horizontal="center" vertical="center"/>
    </xf>
    <xf numFmtId="2" fontId="10" fillId="4" borderId="14" xfId="0" applyNumberFormat="1" applyFont="1" applyFill="1" applyBorder="1" applyProtection="1">
      <protection locked="0"/>
    </xf>
    <xf numFmtId="2" fontId="6" fillId="3" borderId="14" xfId="0" applyNumberFormat="1" applyFont="1" applyFill="1" applyBorder="1" applyAlignment="1" applyProtection="1">
      <alignment horizontal="center" vertical="center"/>
    </xf>
    <xf numFmtId="0" fontId="10" fillId="4" borderId="5" xfId="0" applyFont="1" applyFill="1" applyBorder="1" applyProtection="1">
      <protection locked="0"/>
    </xf>
    <xf numFmtId="2" fontId="6" fillId="3" borderId="5" xfId="0" applyNumberFormat="1" applyFont="1" applyFill="1" applyBorder="1" applyAlignment="1" applyProtection="1">
      <alignment horizontal="center" vertical="center"/>
    </xf>
    <xf numFmtId="2" fontId="6" fillId="3" borderId="18" xfId="0" applyNumberFormat="1" applyFont="1" applyFill="1" applyBorder="1" applyAlignment="1" applyProtection="1">
      <alignment horizontal="center" vertical="center"/>
    </xf>
    <xf numFmtId="2" fontId="6" fillId="3" borderId="19" xfId="0" applyNumberFormat="1" applyFont="1" applyFill="1" applyBorder="1" applyAlignment="1" applyProtection="1">
      <alignment horizontal="center" vertical="center"/>
    </xf>
    <xf numFmtId="2" fontId="6" fillId="3" borderId="20" xfId="0" applyNumberFormat="1" applyFont="1" applyFill="1" applyBorder="1" applyAlignment="1" applyProtection="1">
      <alignment horizontal="center" vertical="center"/>
    </xf>
    <xf numFmtId="2" fontId="7" fillId="2" borderId="23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right" vertical="center" wrapText="1"/>
      <protection locked="0"/>
    </xf>
    <xf numFmtId="2" fontId="6" fillId="2" borderId="23" xfId="0" applyNumberFormat="1" applyFont="1" applyFill="1" applyBorder="1" applyAlignment="1" applyProtection="1">
      <alignment horizontal="center" vertical="center"/>
    </xf>
    <xf numFmtId="2" fontId="6" fillId="3" borderId="24" xfId="0" applyNumberFormat="1" applyFont="1" applyFill="1" applyBorder="1" applyAlignment="1" applyProtection="1">
      <alignment horizontal="center" vertical="center"/>
    </xf>
    <xf numFmtId="0" fontId="2" fillId="5" borderId="0" xfId="0" applyFont="1" applyFill="1" applyBorder="1" applyProtection="1"/>
    <xf numFmtId="0" fontId="2" fillId="5" borderId="0" xfId="0" applyFont="1" applyFill="1" applyBorder="1" applyAlignment="1" applyProtection="1">
      <alignment horizontal="center"/>
    </xf>
    <xf numFmtId="0" fontId="6" fillId="3" borderId="2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7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/>
    </xf>
    <xf numFmtId="0" fontId="6" fillId="3" borderId="11" xfId="0" quotePrefix="1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wrapText="1"/>
    </xf>
    <xf numFmtId="0" fontId="6" fillId="0" borderId="12" xfId="0" applyFont="1" applyBorder="1" applyAlignment="1" applyProtection="1">
      <alignment vertical="center" wrapText="1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6" fillId="3" borderId="12" xfId="0" applyNumberFormat="1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1" fontId="6" fillId="3" borderId="15" xfId="0" applyNumberFormat="1" applyFont="1" applyFill="1" applyBorder="1" applyAlignment="1" applyProtection="1">
      <alignment horizontal="center" vertical="center"/>
    </xf>
    <xf numFmtId="0" fontId="6" fillId="5" borderId="0" xfId="0" applyFont="1" applyFill="1" applyBorder="1" applyProtection="1"/>
    <xf numFmtId="2" fontId="6" fillId="4" borderId="0" xfId="0" applyNumberFormat="1" applyFont="1" applyFill="1" applyBorder="1" applyAlignment="1" applyProtection="1">
      <alignment horizontal="right" vertical="center"/>
      <protection locked="0"/>
    </xf>
    <xf numFmtId="0" fontId="12" fillId="5" borderId="0" xfId="0" applyFont="1" applyFill="1" applyBorder="1" applyProtection="1"/>
    <xf numFmtId="164" fontId="6" fillId="2" borderId="23" xfId="0" applyNumberFormat="1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/>
    </xf>
    <xf numFmtId="0" fontId="6" fillId="3" borderId="3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6" fillId="3" borderId="17" xfId="0" applyFont="1" applyFill="1" applyBorder="1" applyAlignment="1" applyProtection="1">
      <alignment horizontal="center"/>
    </xf>
    <xf numFmtId="0" fontId="6" fillId="3" borderId="14" xfId="0" applyFont="1" applyFill="1" applyBorder="1" applyAlignment="1" applyProtection="1">
      <alignment horizontal="center"/>
    </xf>
    <xf numFmtId="0" fontId="6" fillId="3" borderId="11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12" xfId="0" applyFont="1" applyFill="1" applyBorder="1" applyAlignment="1" applyProtection="1">
      <alignment horizontal="left" vertical="top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1" fillId="3" borderId="21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8" xfId="0" applyFont="1" applyFill="1" applyBorder="1" applyAlignment="1" applyProtection="1">
      <alignment horizontal="left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13" fillId="6" borderId="6" xfId="0" applyFont="1" applyFill="1" applyBorder="1" applyAlignment="1" applyProtection="1">
      <alignment horizontal="center" vertical="center" wrapText="1"/>
    </xf>
    <xf numFmtId="0" fontId="14" fillId="6" borderId="6" xfId="0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left" vertical="top"/>
    </xf>
    <xf numFmtId="14" fontId="9" fillId="0" borderId="29" xfId="0" applyNumberFormat="1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6">
    <dxf>
      <font>
        <b/>
        <i val="0"/>
        <strike val="0"/>
        <color theme="1"/>
      </font>
      <fill>
        <patternFill>
          <bgColor rgb="FF92D05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ont>
        <b/>
        <i val="0"/>
        <strike val="0"/>
      </font>
      <fill>
        <patternFill>
          <bgColor rgb="FF92D050"/>
        </patternFill>
      </fill>
    </dxf>
    <dxf>
      <font>
        <b/>
        <i val="0"/>
        <strike val="0"/>
      </font>
      <fill>
        <patternFill>
          <bgColor rgb="FF92D050"/>
        </patternFill>
      </fill>
    </dxf>
    <dxf>
      <font>
        <b/>
        <i val="0"/>
        <strike val="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BA55C"/>
      <color rgb="FF09284A"/>
      <color rgb="FFF2CF3C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Mass &amp; Balance</a:t>
            </a:r>
            <a:r>
              <a:rPr lang="en-US" baseline="0"/>
              <a:t> </a:t>
            </a:r>
            <a:r>
              <a:rPr lang="en-US"/>
              <a:t>Envelope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980624938438986"/>
          <c:y val="0.12146582100070474"/>
          <c:w val="0.77766977803271276"/>
          <c:h val="0.7702796135683884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Data!$B$1:$B$6</c:f>
              <c:numCache>
                <c:formatCode>General</c:formatCode>
                <c:ptCount val="6"/>
                <c:pt idx="0">
                  <c:v>2.4</c:v>
                </c:pt>
                <c:pt idx="1">
                  <c:v>2.5499999999999998</c:v>
                </c:pt>
                <c:pt idx="2">
                  <c:v>2.5499999999999998</c:v>
                </c:pt>
                <c:pt idx="3">
                  <c:v>2.46</c:v>
                </c:pt>
                <c:pt idx="4">
                  <c:v>2.4</c:v>
                </c:pt>
                <c:pt idx="5">
                  <c:v>2.4</c:v>
                </c:pt>
              </c:numCache>
            </c:numRef>
          </c:xVal>
          <c:yVal>
            <c:numRef>
              <c:f>Data!$C$1:$C$6</c:f>
              <c:numCache>
                <c:formatCode>General</c:formatCode>
                <c:ptCount val="6"/>
                <c:pt idx="0">
                  <c:v>780</c:v>
                </c:pt>
                <c:pt idx="1">
                  <c:v>780</c:v>
                </c:pt>
                <c:pt idx="2">
                  <c:v>1150</c:v>
                </c:pt>
                <c:pt idx="3">
                  <c:v>1150</c:v>
                </c:pt>
                <c:pt idx="4">
                  <c:v>980</c:v>
                </c:pt>
                <c:pt idx="5">
                  <c:v>780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76-4BEF-87EA-21A029864653}"/>
            </c:ext>
          </c:extLst>
        </c:ser>
        <c:ser>
          <c:idx val="1"/>
          <c:order val="1"/>
          <c:tx>
            <c:v>Takeoff CG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'M&amp;B'!$F$13</c:f>
              <c:numCache>
                <c:formatCode>0.000</c:formatCode>
                <c:ptCount val="1"/>
                <c:pt idx="0">
                  <c:v>2.4438700736408037</c:v>
                </c:pt>
              </c:numCache>
            </c:numRef>
          </c:xVal>
          <c:yVal>
            <c:numRef>
              <c:f>'M&amp;B'!$E$13</c:f>
              <c:numCache>
                <c:formatCode>0.00</c:formatCode>
                <c:ptCount val="1"/>
                <c:pt idx="0">
                  <c:v>1092.4649999999999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76-4BEF-87EA-21A029864653}"/>
            </c:ext>
          </c:extLst>
        </c:ser>
        <c:ser>
          <c:idx val="2"/>
          <c:order val="2"/>
          <c:tx>
            <c:v>Landing CG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'M&amp;B'!$F$15</c:f>
              <c:numCache>
                <c:formatCode>0.000</c:formatCode>
                <c:ptCount val="1"/>
                <c:pt idx="0">
                  <c:v>2.4310786087075615</c:v>
                </c:pt>
              </c:numCache>
            </c:numRef>
          </c:xVal>
          <c:yVal>
            <c:numRef>
              <c:f>'M&amp;B'!$E$15</c:f>
              <c:numCache>
                <c:formatCode>0.00</c:formatCode>
                <c:ptCount val="1"/>
                <c:pt idx="0">
                  <c:v>1022.2149999999999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76-4BEF-87EA-21A029864653}"/>
            </c:ext>
          </c:extLst>
        </c:ser>
        <c:ser>
          <c:idx val="3"/>
          <c:order val="3"/>
          <c:tx>
            <c:v>CG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('M&amp;B'!$F$13,'M&amp;B'!$F$15)</c:f>
              <c:numCache>
                <c:formatCode>0.000</c:formatCode>
                <c:ptCount val="2"/>
                <c:pt idx="0">
                  <c:v>2.4438700736408037</c:v>
                </c:pt>
                <c:pt idx="1">
                  <c:v>2.4310786087075615</c:v>
                </c:pt>
              </c:numCache>
            </c:numRef>
          </c:xVal>
          <c:yVal>
            <c:numRef>
              <c:f>('M&amp;B'!$E$13,'M&amp;B'!$E$15)</c:f>
              <c:numCache>
                <c:formatCode>0.00</c:formatCode>
                <c:ptCount val="2"/>
                <c:pt idx="0">
                  <c:v>1092.4649999999999</c:v>
                </c:pt>
                <c:pt idx="1">
                  <c:v>1022.2149999999999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76-4BEF-87EA-21A029864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134351"/>
        <c:axId val="577468975"/>
      </c:scatterChart>
      <c:valAx>
        <c:axId val="490134351"/>
        <c:scaling>
          <c:orientation val="minMax"/>
          <c:max val="2.574999999999999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CG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7468975"/>
        <c:crosses val="autoZero"/>
        <c:crossBetween val="midCat"/>
        <c:majorUnit val="5.000000000000001E-2"/>
      </c:valAx>
      <c:valAx>
        <c:axId val="577468975"/>
        <c:scaling>
          <c:orientation val="minMax"/>
          <c:max val="1250"/>
          <c:min val="7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Mass</a:t>
                </a:r>
                <a:r>
                  <a:rPr lang="de-AT" baseline="0"/>
                  <a:t> (kg)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0134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W&amp;B Envelope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Data!$B$1:$B$6</c:f>
              <c:numCache>
                <c:formatCode>General</c:formatCode>
                <c:ptCount val="6"/>
                <c:pt idx="0">
                  <c:v>2.4</c:v>
                </c:pt>
                <c:pt idx="1">
                  <c:v>2.5499999999999998</c:v>
                </c:pt>
                <c:pt idx="2">
                  <c:v>2.5499999999999998</c:v>
                </c:pt>
                <c:pt idx="3">
                  <c:v>2.46</c:v>
                </c:pt>
                <c:pt idx="4">
                  <c:v>2.4</c:v>
                </c:pt>
                <c:pt idx="5">
                  <c:v>2.4</c:v>
                </c:pt>
              </c:numCache>
            </c:numRef>
          </c:xVal>
          <c:yVal>
            <c:numRef>
              <c:f>Data!$C$1:$C$6</c:f>
              <c:numCache>
                <c:formatCode>General</c:formatCode>
                <c:ptCount val="6"/>
                <c:pt idx="0">
                  <c:v>780</c:v>
                </c:pt>
                <c:pt idx="1">
                  <c:v>780</c:v>
                </c:pt>
                <c:pt idx="2">
                  <c:v>1150</c:v>
                </c:pt>
                <c:pt idx="3">
                  <c:v>1150</c:v>
                </c:pt>
                <c:pt idx="4">
                  <c:v>980</c:v>
                </c:pt>
                <c:pt idx="5">
                  <c:v>780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F-4EA1-B39D-A7EE3B379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134351"/>
        <c:axId val="577468975"/>
      </c:scatterChart>
      <c:valAx>
        <c:axId val="490134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7468975"/>
        <c:crosses val="autoZero"/>
        <c:crossBetween val="midCat"/>
      </c:valAx>
      <c:valAx>
        <c:axId val="577468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01343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0</xdr:row>
      <xdr:rowOff>152400</xdr:rowOff>
    </xdr:from>
    <xdr:to>
      <xdr:col>12</xdr:col>
      <xdr:colOff>685799</xdr:colOff>
      <xdr:row>19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AA93520-7436-4BB6-A720-ACDCFE622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38609</xdr:colOff>
      <xdr:row>15</xdr:row>
      <xdr:rowOff>161926</xdr:rowOff>
    </xdr:from>
    <xdr:to>
      <xdr:col>1</xdr:col>
      <xdr:colOff>1647315</xdr:colOff>
      <xdr:row>19</xdr:row>
      <xdr:rowOff>122042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9B90D70-8B06-4EBD-B0CC-4381CCF20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295784" y="4086226"/>
          <a:ext cx="1608706" cy="550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257174</xdr:colOff>
      <xdr:row>1</xdr:row>
      <xdr:rowOff>76199</xdr:rowOff>
    </xdr:from>
    <xdr:to>
      <xdr:col>7</xdr:col>
      <xdr:colOff>666749</xdr:colOff>
      <xdr:row>23</xdr:row>
      <xdr:rowOff>133350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69319AB-DAA9-4249-B7E0-D3357A168D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5"/>
  <sheetViews>
    <sheetView tabSelected="1" zoomScaleNormal="100" workbookViewId="0">
      <selection activeCell="E4" sqref="E4:G4"/>
    </sheetView>
  </sheetViews>
  <sheetFormatPr baseColWidth="10" defaultColWidth="10.42578125" defaultRowHeight="12.75" x14ac:dyDescent="0.2"/>
  <cols>
    <col min="1" max="1" width="3.85546875" style="17" customWidth="1"/>
    <col min="2" max="2" width="24.85546875" style="17" customWidth="1"/>
    <col min="3" max="3" width="6.7109375" style="18" customWidth="1"/>
    <col min="4" max="4" width="4.85546875" style="17" customWidth="1"/>
    <col min="5" max="5" width="9.85546875" style="17" customWidth="1"/>
    <col min="6" max="6" width="8" style="17" customWidth="1"/>
    <col min="7" max="7" width="8.85546875" style="17" customWidth="1"/>
    <col min="8" max="8" width="10.42578125" style="17" bestFit="1" customWidth="1"/>
    <col min="9" max="9" width="13.140625" style="17" customWidth="1"/>
    <col min="10" max="16384" width="10.42578125" style="17"/>
  </cols>
  <sheetData>
    <row r="1" spans="2:8" ht="13.5" thickBot="1" x14ac:dyDescent="0.25"/>
    <row r="2" spans="2:8" ht="26.25" customHeight="1" thickTop="1" x14ac:dyDescent="0.2">
      <c r="B2" s="55" t="s">
        <v>16</v>
      </c>
      <c r="C2" s="56"/>
      <c r="D2" s="57" t="s">
        <v>15</v>
      </c>
      <c r="E2" s="57"/>
      <c r="F2" s="57"/>
      <c r="G2" s="58"/>
    </row>
    <row r="3" spans="2:8" ht="12.75" customHeight="1" x14ac:dyDescent="0.2">
      <c r="B3" s="47" t="s">
        <v>4</v>
      </c>
      <c r="C3" s="48"/>
      <c r="D3" s="48"/>
      <c r="E3" s="64" t="s">
        <v>5</v>
      </c>
      <c r="F3" s="48"/>
      <c r="G3" s="49"/>
    </row>
    <row r="4" spans="2:8" ht="27" customHeight="1" x14ac:dyDescent="0.2">
      <c r="B4" s="50" t="s">
        <v>9</v>
      </c>
      <c r="C4" s="51"/>
      <c r="D4" s="51"/>
      <c r="E4" s="65">
        <v>44074</v>
      </c>
      <c r="F4" s="66"/>
      <c r="G4" s="67"/>
    </row>
    <row r="5" spans="2:8" ht="27.75" customHeight="1" x14ac:dyDescent="0.2">
      <c r="B5" s="39"/>
      <c r="C5" s="40"/>
      <c r="D5" s="40"/>
      <c r="E5" s="19" t="s">
        <v>17</v>
      </c>
      <c r="F5" s="20" t="s">
        <v>19</v>
      </c>
      <c r="G5" s="21" t="s">
        <v>18</v>
      </c>
    </row>
    <row r="6" spans="2:8" ht="18" customHeight="1" x14ac:dyDescent="0.2">
      <c r="B6" s="22" t="s">
        <v>6</v>
      </c>
      <c r="C6" s="23"/>
      <c r="D6" s="23"/>
      <c r="E6" s="5">
        <v>799.9</v>
      </c>
      <c r="F6" s="2">
        <v>2.4342999999999999</v>
      </c>
      <c r="G6" s="10">
        <f>E6*F6</f>
        <v>1947.1965699999998</v>
      </c>
      <c r="H6" s="24"/>
    </row>
    <row r="7" spans="2:8" ht="18.75" customHeight="1" x14ac:dyDescent="0.2">
      <c r="B7" s="22" t="s">
        <v>20</v>
      </c>
      <c r="C7" s="14">
        <v>35</v>
      </c>
      <c r="D7" s="23" t="s">
        <v>10</v>
      </c>
      <c r="E7" s="5">
        <f>C7*2.81</f>
        <v>98.350000000000009</v>
      </c>
      <c r="F7" s="2">
        <v>2.63</v>
      </c>
      <c r="G7" s="10">
        <f t="shared" ref="G7:G9" si="0">E7*F7</f>
        <v>258.66050000000001</v>
      </c>
      <c r="H7" s="24"/>
    </row>
    <row r="8" spans="2:8" ht="18" customHeight="1" x14ac:dyDescent="0.2">
      <c r="B8" s="22" t="s">
        <v>7</v>
      </c>
      <c r="C8" s="14">
        <v>180</v>
      </c>
      <c r="D8" s="23" t="s">
        <v>11</v>
      </c>
      <c r="E8" s="5">
        <f>C8</f>
        <v>180</v>
      </c>
      <c r="F8" s="2">
        <v>2.2999999999999998</v>
      </c>
      <c r="G8" s="10">
        <f t="shared" si="0"/>
        <v>413.99999999999994</v>
      </c>
      <c r="H8" s="24"/>
    </row>
    <row r="9" spans="2:8" ht="18" customHeight="1" x14ac:dyDescent="0.2">
      <c r="B9" s="22" t="s">
        <v>8</v>
      </c>
      <c r="C9" s="14"/>
      <c r="D9" s="23" t="s">
        <v>11</v>
      </c>
      <c r="E9" s="5">
        <f t="shared" ref="E9:E10" si="1">C9</f>
        <v>0</v>
      </c>
      <c r="F9" s="2">
        <v>3.25</v>
      </c>
      <c r="G9" s="10">
        <f t="shared" si="0"/>
        <v>0</v>
      </c>
      <c r="H9" s="24"/>
    </row>
    <row r="10" spans="2:8" ht="19.5" customHeight="1" thickBot="1" x14ac:dyDescent="0.25">
      <c r="B10" s="22" t="s">
        <v>25</v>
      </c>
      <c r="C10" s="14">
        <v>10</v>
      </c>
      <c r="D10" s="23" t="s">
        <v>11</v>
      </c>
      <c r="E10" s="5">
        <f t="shared" si="1"/>
        <v>10</v>
      </c>
      <c r="F10" s="11">
        <f>3.89</f>
        <v>3.89</v>
      </c>
      <c r="G10" s="12">
        <f>E10*F10</f>
        <v>38.9</v>
      </c>
      <c r="H10" s="24"/>
    </row>
    <row r="11" spans="2:8" ht="24" customHeight="1" thickTop="1" x14ac:dyDescent="0.2">
      <c r="B11" s="52" t="s">
        <v>22</v>
      </c>
      <c r="C11" s="53"/>
      <c r="D11" s="54"/>
      <c r="E11" s="15">
        <f>SUM(E6:E10)</f>
        <v>1088.25</v>
      </c>
      <c r="F11" s="38">
        <f>G11/E11</f>
        <v>2.443149156903285</v>
      </c>
      <c r="G11" s="16">
        <f>SUM(G6:G10)</f>
        <v>2658.7570700000001</v>
      </c>
      <c r="H11" s="24"/>
    </row>
    <row r="12" spans="2:8" ht="17.25" customHeight="1" thickBot="1" x14ac:dyDescent="0.25">
      <c r="B12" s="25" t="str">
        <f>CONCATENATE("-","Taxi / Runup Fuel")</f>
        <v>-Taxi / Runup Fuel</v>
      </c>
      <c r="C12" s="36">
        <v>-1.5</v>
      </c>
      <c r="D12" s="3" t="s">
        <v>10</v>
      </c>
      <c r="E12" s="5">
        <f>-C12*2.81</f>
        <v>4.2149999999999999</v>
      </c>
      <c r="F12" s="2">
        <v>2.63</v>
      </c>
      <c r="G12" s="10">
        <f>E12*F12</f>
        <v>11.08545</v>
      </c>
      <c r="H12" s="24"/>
    </row>
    <row r="13" spans="2:8" s="27" customFormat="1" ht="25.5" customHeight="1" thickTop="1" x14ac:dyDescent="0.2">
      <c r="B13" s="52" t="s">
        <v>24</v>
      </c>
      <c r="C13" s="53"/>
      <c r="D13" s="54"/>
      <c r="E13" s="15">
        <f>E11+E12</f>
        <v>1092.4649999999999</v>
      </c>
      <c r="F13" s="38">
        <f>(G13)/E13</f>
        <v>2.4438700736408037</v>
      </c>
      <c r="G13" s="16">
        <f>G11+G12</f>
        <v>2669.8425200000001</v>
      </c>
      <c r="H13" s="26"/>
    </row>
    <row r="14" spans="2:8" ht="17.25" customHeight="1" thickBot="1" x14ac:dyDescent="0.25">
      <c r="B14" s="22" t="str">
        <f>CONCATENATE("-","Trip Fuel")</f>
        <v>-Trip Fuel</v>
      </c>
      <c r="C14" s="14">
        <v>25</v>
      </c>
      <c r="D14" s="23" t="s">
        <v>10</v>
      </c>
      <c r="E14" s="5">
        <f>-C14*2.81</f>
        <v>-70.25</v>
      </c>
      <c r="F14" s="2">
        <v>2.63</v>
      </c>
      <c r="G14" s="10">
        <f>E14*F14</f>
        <v>-184.75749999999999</v>
      </c>
      <c r="H14" s="24"/>
    </row>
    <row r="15" spans="2:8" s="27" customFormat="1" ht="25.5" customHeight="1" thickTop="1" x14ac:dyDescent="0.2">
      <c r="B15" s="52" t="s">
        <v>23</v>
      </c>
      <c r="C15" s="53"/>
      <c r="D15" s="54"/>
      <c r="E15" s="13">
        <f>E13+E14</f>
        <v>1022.2149999999999</v>
      </c>
      <c r="F15" s="38">
        <f>G15/E15</f>
        <v>2.4310786087075615</v>
      </c>
      <c r="G15" s="16">
        <f>G13+G14</f>
        <v>2485.08502</v>
      </c>
      <c r="H15" s="26"/>
    </row>
    <row r="16" spans="2:8" ht="18" customHeight="1" x14ac:dyDescent="0.2">
      <c r="B16" s="62"/>
      <c r="C16" s="59" t="s">
        <v>0</v>
      </c>
      <c r="D16" s="60"/>
      <c r="E16" s="60"/>
      <c r="F16" s="60"/>
      <c r="G16" s="61"/>
    </row>
    <row r="17" spans="2:11" ht="4.5" hidden="1" customHeight="1" x14ac:dyDescent="0.25">
      <c r="B17" s="62"/>
      <c r="C17" s="28"/>
      <c r="D17" s="29"/>
      <c r="E17" s="29"/>
      <c r="F17" s="29"/>
      <c r="G17" s="30"/>
    </row>
    <row r="18" spans="2:11" ht="14.25" x14ac:dyDescent="0.25">
      <c r="B18" s="62"/>
      <c r="C18" s="41" t="s">
        <v>13</v>
      </c>
      <c r="D18" s="42"/>
      <c r="E18" s="8">
        <v>40</v>
      </c>
      <c r="F18" s="9" t="s">
        <v>3</v>
      </c>
      <c r="G18" s="31">
        <f>E18*3.7854</f>
        <v>151.416</v>
      </c>
    </row>
    <row r="19" spans="2:11" ht="14.25" x14ac:dyDescent="0.25">
      <c r="B19" s="62"/>
      <c r="C19" s="43" t="s">
        <v>12</v>
      </c>
      <c r="D19" s="44"/>
      <c r="E19" s="4">
        <v>329.33</v>
      </c>
      <c r="F19" s="3" t="s">
        <v>3</v>
      </c>
      <c r="G19" s="32">
        <f>E19/3.7854</f>
        <v>87.000052834574944</v>
      </c>
    </row>
    <row r="20" spans="2:11" ht="14.25" x14ac:dyDescent="0.25">
      <c r="B20" s="62"/>
      <c r="C20" s="43" t="s">
        <v>1</v>
      </c>
      <c r="D20" s="44"/>
      <c r="E20" s="4">
        <v>50</v>
      </c>
      <c r="F20" s="3" t="s">
        <v>3</v>
      </c>
      <c r="G20" s="33">
        <f>E20*2.2</f>
        <v>110.00000000000001</v>
      </c>
    </row>
    <row r="21" spans="2:11" ht="15" thickBot="1" x14ac:dyDescent="0.3">
      <c r="B21" s="63"/>
      <c r="C21" s="45" t="s">
        <v>2</v>
      </c>
      <c r="D21" s="46"/>
      <c r="E21" s="6">
        <v>1</v>
      </c>
      <c r="F21" s="7" t="s">
        <v>3</v>
      </c>
      <c r="G21" s="34">
        <f>E21*6</f>
        <v>6</v>
      </c>
    </row>
    <row r="22" spans="2:11" ht="15" thickTop="1" x14ac:dyDescent="0.25">
      <c r="B22" s="35" t="s">
        <v>21</v>
      </c>
    </row>
    <row r="25" spans="2:11" ht="14.25" x14ac:dyDescent="0.25">
      <c r="I25" s="37" t="s">
        <v>14</v>
      </c>
      <c r="J25" s="37"/>
      <c r="K25" s="37"/>
    </row>
  </sheetData>
  <sheetProtection algorithmName="SHA-512" hashValue="1HN2JubHVvmAVE5XVWHNB0h+jNsXQw103aQjQM1d8Sv/ftyYTgxBDmI7uDWgz6FzROfXw/JyTkrlPCxo/xSoyQ==" saltValue="rSMlKarHhSY28qnvswkhCw==" spinCount="100000" sheet="1" selectLockedCells="1"/>
  <mergeCells count="16">
    <mergeCell ref="D2:G2"/>
    <mergeCell ref="B5:D5"/>
    <mergeCell ref="B2:C2"/>
    <mergeCell ref="C16:G16"/>
    <mergeCell ref="B16:B21"/>
    <mergeCell ref="C18:D18"/>
    <mergeCell ref="C19:D19"/>
    <mergeCell ref="C20:D20"/>
    <mergeCell ref="C21:D21"/>
    <mergeCell ref="B3:D3"/>
    <mergeCell ref="E3:G3"/>
    <mergeCell ref="B4:D4"/>
    <mergeCell ref="E4:G4"/>
    <mergeCell ref="B11:D11"/>
    <mergeCell ref="B13:D13"/>
    <mergeCell ref="B15:D15"/>
  </mergeCells>
  <phoneticPr fontId="1" type="noConversion"/>
  <conditionalFormatting sqref="E15">
    <cfRule type="cellIs" dxfId="5" priority="11" operator="between">
      <formula>799</formula>
      <formula>1092</formula>
    </cfRule>
  </conditionalFormatting>
  <conditionalFormatting sqref="E11">
    <cfRule type="cellIs" dxfId="4" priority="7" operator="between">
      <formula>799</formula>
      <formula>1150</formula>
    </cfRule>
  </conditionalFormatting>
  <conditionalFormatting sqref="E13">
    <cfRule type="cellIs" dxfId="3" priority="6" operator="between">
      <formula>799</formula>
      <formula>1150</formula>
    </cfRule>
  </conditionalFormatting>
  <conditionalFormatting sqref="F13">
    <cfRule type="expression" dxfId="2" priority="5">
      <formula>(IF(F13&gt;2.46,AND(F13&lt;2.55, F13&gt;2.4 ),(F13*2833.333-5820)&gt;=E13))</formula>
    </cfRule>
  </conditionalFormatting>
  <conditionalFormatting sqref="F11">
    <cfRule type="expression" dxfId="1" priority="2">
      <formula>(IF(F11&gt;2.46,AND(F11&lt;2.55, F11&gt;2.4 ),(F11*2833.333-5820)&gt;=E11))</formula>
    </cfRule>
  </conditionalFormatting>
  <conditionalFormatting sqref="F15">
    <cfRule type="expression" dxfId="0" priority="1">
      <formula>(IF(F15&gt;2.46,AND(F15&lt;2.55, F15&gt;2.4 ),(F15*2833.333-5820)&gt;=E15))</formula>
    </cfRule>
  </conditionalFormatting>
  <printOptions gridLines="1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6"/>
  <sheetViews>
    <sheetView workbookViewId="0">
      <selection activeCell="D6" sqref="D6"/>
    </sheetView>
  </sheetViews>
  <sheetFormatPr baseColWidth="10" defaultColWidth="10.42578125" defaultRowHeight="12.75" x14ac:dyDescent="0.2"/>
  <sheetData>
    <row r="1" spans="2:3" x14ac:dyDescent="0.2">
      <c r="B1">
        <v>2.4</v>
      </c>
      <c r="C1">
        <v>780</v>
      </c>
    </row>
    <row r="2" spans="2:3" x14ac:dyDescent="0.2">
      <c r="B2">
        <v>2.5499999999999998</v>
      </c>
      <c r="C2">
        <v>780</v>
      </c>
    </row>
    <row r="3" spans="2:3" x14ac:dyDescent="0.2">
      <c r="B3">
        <v>2.5499999999999998</v>
      </c>
      <c r="C3">
        <v>1150</v>
      </c>
    </row>
    <row r="4" spans="2:3" x14ac:dyDescent="0.2">
      <c r="B4" s="1">
        <v>2.46</v>
      </c>
      <c r="C4">
        <v>1150</v>
      </c>
    </row>
    <row r="5" spans="2:3" x14ac:dyDescent="0.2">
      <c r="B5" s="1">
        <v>2.4</v>
      </c>
      <c r="C5">
        <v>980</v>
      </c>
    </row>
    <row r="6" spans="2:3" x14ac:dyDescent="0.2">
      <c r="B6" s="1">
        <v>2.4</v>
      </c>
      <c r="C6">
        <v>780</v>
      </c>
    </row>
  </sheetData>
  <phoneticPr fontId="1" type="noConversion"/>
  <printOptions gridLines="1"/>
  <pageMargins left="0.78740157499999996" right="0.78740157499999996" top="0.984251969" bottom="0.984251969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M&amp;B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2020-08-31T14:15:18Z</cp:lastPrinted>
  <dcterms:created xsi:type="dcterms:W3CDTF">2008-01-10T07:48:49Z</dcterms:created>
  <dcterms:modified xsi:type="dcterms:W3CDTF">2022-01-31T11:51:35Z</dcterms:modified>
</cp:coreProperties>
</file>